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82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<sst xmlns="http://schemas.openxmlformats.org/spreadsheetml/2006/main" count="80" uniqueCount="38">
  <si>
    <t>anno 2016</t>
  </si>
  <si>
    <t>FUNZIONARIO AMMINISTRATIVO  CTG.D3 ASSEGNATO ORGANI INDIRIZZO POLITICO</t>
  </si>
  <si>
    <t>GENNAIO</t>
  </si>
  <si>
    <t>FEBBRAIO</t>
  </si>
  <si>
    <t>MARZO</t>
  </si>
  <si>
    <t>TOTALE COSTO 1° TRIM.</t>
  </si>
  <si>
    <t xml:space="preserve">APRILE </t>
  </si>
  <si>
    <t>MAGGIO</t>
  </si>
  <si>
    <t>GIUGNO</t>
  </si>
  <si>
    <t>COSTO 2° TRIM.</t>
  </si>
  <si>
    <t>LUGLIO</t>
  </si>
  <si>
    <t>AGOSTO</t>
  </si>
  <si>
    <t>SETTEMBRE</t>
  </si>
  <si>
    <t>COSTO 3° TRIM.</t>
  </si>
  <si>
    <t>OTTOBRE</t>
  </si>
  <si>
    <t>NOVEMBRE</t>
  </si>
  <si>
    <t>DICEMBRE</t>
  </si>
  <si>
    <t>COSTO 4° TRIM.</t>
  </si>
  <si>
    <t>TANDOI MARCELLO D3</t>
  </si>
  <si>
    <t>LORDO</t>
  </si>
  <si>
    <t>CPDEL</t>
  </si>
  <si>
    <t>INADEL</t>
  </si>
  <si>
    <t>D.S.</t>
  </si>
  <si>
    <t>INAIL</t>
  </si>
  <si>
    <t>IRAP</t>
  </si>
  <si>
    <t>ISTRUTTORE DIRETTIVO TECNICO    CTG.D1</t>
  </si>
  <si>
    <t>GAGLIARDI</t>
  </si>
  <si>
    <t>APRILE</t>
  </si>
  <si>
    <t>TOTALE COSTO 2° TRIM.</t>
  </si>
  <si>
    <t>TOTALE COSTO 3° TRIM.</t>
  </si>
  <si>
    <t>D1</t>
  </si>
  <si>
    <t>ASSEGNI NUCLEO</t>
  </si>
  <si>
    <t xml:space="preserve">TOTALE COSTO </t>
  </si>
  <si>
    <t xml:space="preserve"> 2  ISTRUTTORI  P.M.    CTG.C1</t>
  </si>
  <si>
    <t>MANGIONE</t>
  </si>
  <si>
    <t>PIARULLI</t>
  </si>
  <si>
    <t>D.S</t>
  </si>
  <si>
    <t>TOTALE COSTO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</si>
</sst>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3" fontId="2" fillId="0" borderId="9" xfId="15" applyFont="1" applyBorder="1" applyAlignment="1">
      <alignment/>
    </xf>
    <xf numFmtId="43" fontId="2" fillId="0" borderId="6" xfId="15" applyFont="1" applyBorder="1" applyAlignment="1">
      <alignment/>
    </xf>
    <xf numFmtId="43" fontId="2" fillId="0" borderId="7" xfId="15" applyFont="1" applyBorder="1" applyAlignment="1">
      <alignment/>
    </xf>
    <xf numFmtId="43" fontId="3" fillId="0" borderId="8" xfId="15" applyFont="1" applyBorder="1" applyAlignment="1">
      <alignment/>
    </xf>
    <xf numFmtId="43" fontId="3" fillId="0" borderId="8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3" fontId="3" fillId="0" borderId="11" xfId="15" applyFont="1" applyBorder="1" applyAlignment="1">
      <alignment/>
    </xf>
    <xf numFmtId="43" fontId="3" fillId="0" borderId="11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43" fontId="2" fillId="0" borderId="9" xfId="0" applyNumberFormat="1" applyFont="1" applyBorder="1" applyAlignment="1">
      <alignment/>
    </xf>
    <xf numFmtId="43" fontId="2" fillId="0" borderId="7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3" fontId="3" fillId="0" borderId="12" xfId="15" applyFont="1" applyBorder="1" applyAlignment="1">
      <alignment/>
    </xf>
    <xf numFmtId="43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3" fontId="3" fillId="0" borderId="13" xfId="15" applyFont="1" applyBorder="1" applyAlignment="1">
      <alignment/>
    </xf>
    <xf numFmtId="43" fontId="3" fillId="0" borderId="7" xfId="0" applyNumberFormat="1" applyFont="1" applyBorder="1" applyAlignment="1">
      <alignment/>
    </xf>
    <xf numFmtId="43" fontId="3" fillId="0" borderId="13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2" fillId="0" borderId="1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7" xfId="0" applyFont="1" applyBorder="1" applyAlignment="1">
      <alignment wrapText="1"/>
    </xf>
    <xf numFmtId="0" fontId="2" fillId="0" borderId="4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0" fontId="2" fillId="0" borderId="18" xfId="0" applyFont="1" applyBorder="1" applyAlignment="1">
      <alignment/>
    </xf>
    <xf numFmtId="43" fontId="2" fillId="0" borderId="18" xfId="0" applyNumberFormat="1" applyFont="1" applyBorder="1" applyAlignment="1">
      <alignment/>
    </xf>
    <xf numFmtId="43" fontId="2" fillId="0" borderId="19" xfId="0" applyNumberFormat="1" applyFont="1" applyBorder="1" applyAlignment="1">
      <alignment/>
    </xf>
    <xf numFmtId="43" fontId="2" fillId="0" borderId="20" xfId="15" applyFont="1" applyBorder="1" applyAlignment="1">
      <alignment/>
    </xf>
    <xf numFmtId="43" fontId="2" fillId="0" borderId="18" xfId="15" applyFont="1" applyBorder="1" applyAlignment="1">
      <alignment/>
    </xf>
    <xf numFmtId="43" fontId="2" fillId="0" borderId="19" xfId="15" applyFont="1" applyBorder="1" applyAlignment="1">
      <alignment/>
    </xf>
    <xf numFmtId="43" fontId="2" fillId="0" borderId="21" xfId="0" applyNumberFormat="1" applyFont="1" applyBorder="1" applyAlignment="1">
      <alignment/>
    </xf>
    <xf numFmtId="43" fontId="2" fillId="0" borderId="22" xfId="15" applyFont="1" applyBorder="1" applyAlignment="1">
      <alignment/>
    </xf>
    <xf numFmtId="43" fontId="2" fillId="0" borderId="23" xfId="15" applyFont="1" applyBorder="1" applyAlignment="1">
      <alignment/>
    </xf>
    <xf numFmtId="43" fontId="2" fillId="0" borderId="21" xfId="15" applyFont="1" applyBorder="1" applyAlignment="1">
      <alignment/>
    </xf>
    <xf numFmtId="43" fontId="3" fillId="0" borderId="7" xfId="15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43" fontId="2" fillId="0" borderId="6" xfId="0" applyNumberFormat="1" applyFont="1" applyFill="1" applyBorder="1" applyAlignment="1">
      <alignment/>
    </xf>
    <xf numFmtId="43" fontId="3" fillId="0" borderId="21" xfId="0" applyNumberFormat="1" applyFont="1" applyBorder="1" applyAlignment="1">
      <alignment/>
    </xf>
    <xf numFmtId="43" fontId="3" fillId="0" borderId="22" xfId="15" applyFont="1" applyBorder="1" applyAlignment="1">
      <alignment/>
    </xf>
    <xf numFmtId="43" fontId="3" fillId="0" borderId="23" xfId="15" applyFont="1" applyBorder="1" applyAlignment="1">
      <alignment/>
    </xf>
    <xf numFmtId="43" fontId="3" fillId="0" borderId="21" xfId="15" applyFont="1" applyBorder="1" applyAlignment="1">
      <alignment/>
    </xf>
    <xf numFmtId="43" fontId="3" fillId="0" borderId="9" xfId="15" applyFont="1" applyBorder="1" applyAlignment="1">
      <alignment/>
    </xf>
    <xf numFmtId="43" fontId="3" fillId="0" borderId="6" xfId="15" applyFont="1" applyBorder="1" applyAlignment="1">
      <alignment/>
    </xf>
    <xf numFmtId="43" fontId="3" fillId="0" borderId="24" xfId="15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8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B1">
      <selection activeCell="L41" sqref="L41"/>
    </sheetView>
  </sheetViews>
  <sheetFormatPr defaultColWidth="9.140625" defaultRowHeight="12.75"/>
  <cols>
    <col min="1" max="1" width="11.28125" style="0" hidden="1" customWidth="1"/>
    <col min="2" max="18" width="8.7109375" style="3" customWidth="1"/>
    <col min="21" max="21" width="9.28125" style="0" bestFit="1" customWidth="1"/>
  </cols>
  <sheetData>
    <row r="1" spans="5:14" ht="30.75" customHeight="1" thickBot="1">
      <c r="E1" s="4" t="s">
        <v>0</v>
      </c>
      <c r="F1" s="5"/>
      <c r="G1" s="5"/>
      <c r="H1" s="5"/>
      <c r="I1" s="5"/>
      <c r="J1" s="5"/>
      <c r="K1" s="5"/>
      <c r="L1" s="5"/>
      <c r="M1" s="5"/>
      <c r="N1" s="6"/>
    </row>
    <row r="2" spans="3:18" ht="20.25" customHeight="1" thickBot="1">
      <c r="C2" s="4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3:18" ht="34.5" thickBot="1">
      <c r="C3" s="7" t="s">
        <v>2</v>
      </c>
      <c r="D3" s="3" t="s">
        <v>3</v>
      </c>
      <c r="E3" s="3" t="s">
        <v>4</v>
      </c>
      <c r="F3" s="8" t="s">
        <v>5</v>
      </c>
      <c r="G3" s="9" t="s">
        <v>6</v>
      </c>
      <c r="H3" s="10" t="s">
        <v>7</v>
      </c>
      <c r="I3" s="10" t="s">
        <v>8</v>
      </c>
      <c r="J3" s="11" t="s">
        <v>9</v>
      </c>
      <c r="K3" s="12" t="s">
        <v>10</v>
      </c>
      <c r="L3" s="10" t="s">
        <v>11</v>
      </c>
      <c r="M3" s="10" t="s">
        <v>12</v>
      </c>
      <c r="N3" s="13" t="s">
        <v>13</v>
      </c>
      <c r="O3" s="12" t="s">
        <v>14</v>
      </c>
      <c r="P3" s="10" t="s">
        <v>15</v>
      </c>
      <c r="Q3" s="10" t="s">
        <v>16</v>
      </c>
      <c r="R3" s="13" t="s">
        <v>17</v>
      </c>
    </row>
    <row r="4" spans="1:18" ht="38.25">
      <c r="A4" s="1" t="s">
        <v>18</v>
      </c>
      <c r="B4" s="14" t="s">
        <v>19</v>
      </c>
      <c r="C4" s="15">
        <f>2028.18+51.9+416.67+15.21-40.87</f>
        <v>2471.09</v>
      </c>
      <c r="D4" s="15">
        <f>2028.18+51.9+416.67+15.21-40.87</f>
        <v>2471.09</v>
      </c>
      <c r="E4" s="16">
        <f>2028.18+51.9+416.67+15.21-40.87</f>
        <v>2471.09</v>
      </c>
      <c r="F4" s="17">
        <f aca="true" t="shared" si="0" ref="F4:F10">SUM(C4:E4)</f>
        <v>7413.27</v>
      </c>
      <c r="G4" s="18">
        <f>2028.18+51.9+15.21+416.67-40.87</f>
        <v>2471.09</v>
      </c>
      <c r="H4" s="19">
        <f>2028.18+51.9+416.67+15.21-40.87+42.25+146.48+437.33</f>
        <v>3097.15</v>
      </c>
      <c r="I4" s="20">
        <f>2028.18+51.9+15.21+416.67-40.87</f>
        <v>2471.09</v>
      </c>
      <c r="J4" s="21">
        <f aca="true" t="shared" si="1" ref="J4:J9">SUM(G4:I4)</f>
        <v>8039.33</v>
      </c>
      <c r="K4" s="18">
        <f>2028.18+51.9+416.67+15.21-40.87</f>
        <v>2471.09</v>
      </c>
      <c r="L4" s="19">
        <f>2028.18+51.9+416.67+15.21-40.87</f>
        <v>2471.09</v>
      </c>
      <c r="M4" s="20">
        <f>2028.18+51.9+416.67+15.21-40.87</f>
        <v>2471.09</v>
      </c>
      <c r="N4" s="22">
        <f aca="true" t="shared" si="2" ref="N4:N10">SUM(K4:M4)</f>
        <v>7413.27</v>
      </c>
      <c r="O4" s="18">
        <f>2028.18+51.9+416.67+15.21-40.87</f>
        <v>2471.09</v>
      </c>
      <c r="P4" s="19">
        <f>2028.18+51.9+416.67+15.21-40.87</f>
        <v>2471.09</v>
      </c>
      <c r="Q4" s="20">
        <f>2028.18+51.9+416.67+15.21+2043.39+42.25+164.79+469.72-81.74</f>
        <v>5150.370000000001</v>
      </c>
      <c r="R4" s="22">
        <f aca="true" t="shared" si="3" ref="R4:R10">SUM(O4:Q4)</f>
        <v>10092.550000000001</v>
      </c>
    </row>
    <row r="5" spans="2:18" ht="12.75">
      <c r="B5" s="14" t="s">
        <v>20</v>
      </c>
      <c r="C5" s="15">
        <f>(C4+40.87)*23.8/100</f>
        <v>597.84648</v>
      </c>
      <c r="D5" s="15">
        <f>(D4+40.87)*23.8/100</f>
        <v>597.84648</v>
      </c>
      <c r="E5" s="23">
        <f>(E4+40.87)*23.8/100</f>
        <v>597.84648</v>
      </c>
      <c r="F5" s="24">
        <f t="shared" si="0"/>
        <v>1793.53944</v>
      </c>
      <c r="G5" s="18">
        <f>(2028.18+51.9+416.67+15.21)*23.8/100</f>
        <v>597.84648</v>
      </c>
      <c r="H5" s="19">
        <f>(H4+40.87)*23.8/100</f>
        <v>746.8487600000001</v>
      </c>
      <c r="I5" s="20">
        <f>(I4+40.87)*23.8/100</f>
        <v>597.84648</v>
      </c>
      <c r="J5" s="25">
        <f t="shared" si="1"/>
        <v>1942.5417200000002</v>
      </c>
      <c r="K5" s="18">
        <f>(K4+40.87)*23.8/100</f>
        <v>597.84648</v>
      </c>
      <c r="L5" s="19">
        <f>(L4+40.87)*23.8/100</f>
        <v>597.84648</v>
      </c>
      <c r="M5" s="20">
        <f>(M4+40.87)*23.8/100</f>
        <v>597.84648</v>
      </c>
      <c r="N5" s="26">
        <f t="shared" si="2"/>
        <v>1793.53944</v>
      </c>
      <c r="O5" s="18">
        <f>(O4+40.87)*23.8/100</f>
        <v>597.84648</v>
      </c>
      <c r="P5" s="19">
        <f>(P4+40.87)*23.8/100</f>
        <v>597.84648</v>
      </c>
      <c r="Q5" s="20">
        <f>(Q4+81.74)*23.8/100</f>
        <v>1245.2421800000002</v>
      </c>
      <c r="R5" s="26">
        <f t="shared" si="3"/>
        <v>2440.9351400000005</v>
      </c>
    </row>
    <row r="6" spans="2:18" ht="12.75">
      <c r="B6" s="14" t="s">
        <v>21</v>
      </c>
      <c r="C6" s="15">
        <f>(2028.18+15.21)*80/100*6.1/100</f>
        <v>99.717432</v>
      </c>
      <c r="D6" s="19">
        <f>(2028.18+15.21)*80/100*6.1/100</f>
        <v>99.717432</v>
      </c>
      <c r="E6" s="16">
        <f>(2028.18+15.21)*80/100*6.1/100</f>
        <v>99.717432</v>
      </c>
      <c r="F6" s="24">
        <f t="shared" si="0"/>
        <v>299.152296</v>
      </c>
      <c r="G6" s="18">
        <f>(2028.18+15.21)*80/100*6.1/100</f>
        <v>99.717432</v>
      </c>
      <c r="H6" s="19">
        <f>(2028.18+15.21)*80/100*6.1/100</f>
        <v>99.717432</v>
      </c>
      <c r="I6" s="20">
        <f>(2028.18+15.21)*80/100*6.1/100</f>
        <v>99.717432</v>
      </c>
      <c r="J6" s="25">
        <f t="shared" si="1"/>
        <v>299.152296</v>
      </c>
      <c r="K6" s="18">
        <f>(2028.18+15.21)*80/100*6.1/100</f>
        <v>99.717432</v>
      </c>
      <c r="L6" s="19">
        <f>(2028.18+15.21)*80/100*6.1/100</f>
        <v>99.717432</v>
      </c>
      <c r="M6" s="20">
        <f>(2028.18+15.21)*80/100*6.1/100</f>
        <v>99.717432</v>
      </c>
      <c r="N6" s="26">
        <f t="shared" si="2"/>
        <v>299.152296</v>
      </c>
      <c r="O6" s="18">
        <f>(2028.18+15.21)*80/100*6.1/100</f>
        <v>99.717432</v>
      </c>
      <c r="P6" s="19">
        <f>(2028.18+15.21)*80/100*6.1/100</f>
        <v>99.717432</v>
      </c>
      <c r="Q6" s="20">
        <f>(2028.18+15.21+2043.39)*80/100*6.1/100</f>
        <v>199.434864</v>
      </c>
      <c r="R6" s="26">
        <f t="shared" si="3"/>
        <v>398.869728</v>
      </c>
    </row>
    <row r="7" spans="2:18" ht="12.75">
      <c r="B7" s="14" t="s">
        <v>22</v>
      </c>
      <c r="C7" s="15">
        <f>C4*1.61/100</f>
        <v>39.784549000000005</v>
      </c>
      <c r="D7" s="15">
        <f>D4*1.61/100</f>
        <v>39.784549000000005</v>
      </c>
      <c r="E7" s="15">
        <f>E4*1.61/100</f>
        <v>39.784549000000005</v>
      </c>
      <c r="F7" s="24">
        <f>SUM(C7:E7)</f>
        <v>119.35364700000002</v>
      </c>
      <c r="G7" s="18">
        <f>G4*1.61/100</f>
        <v>39.784549000000005</v>
      </c>
      <c r="H7" s="18">
        <f>H4*1.61/100</f>
        <v>49.864115</v>
      </c>
      <c r="I7" s="18">
        <f>I4*1.61/100</f>
        <v>39.784549000000005</v>
      </c>
      <c r="J7" s="25">
        <f t="shared" si="1"/>
        <v>129.433213</v>
      </c>
      <c r="K7" s="18">
        <f>K4*1.61/100</f>
        <v>39.784549000000005</v>
      </c>
      <c r="L7" s="18">
        <f>L4*1.61/100</f>
        <v>39.784549000000005</v>
      </c>
      <c r="M7" s="18">
        <f>M4*1.61/100</f>
        <v>39.784549000000005</v>
      </c>
      <c r="N7" s="26">
        <f>SUM(K7:M7)</f>
        <v>119.35364700000002</v>
      </c>
      <c r="O7" s="18">
        <f>O4*1.61/100</f>
        <v>39.784549000000005</v>
      </c>
      <c r="P7" s="18">
        <f>P4*1.61/100</f>
        <v>39.784549000000005</v>
      </c>
      <c r="Q7" s="18">
        <f>Q4*1.61/100</f>
        <v>82.92095700000002</v>
      </c>
      <c r="R7" s="26">
        <f>SUM(O7:Q7)</f>
        <v>162.49005500000004</v>
      </c>
    </row>
    <row r="8" spans="2:18" ht="12.75">
      <c r="B8" s="14" t="s">
        <v>23</v>
      </c>
      <c r="C8" s="15">
        <f>C4*0.4/100</f>
        <v>9.884360000000001</v>
      </c>
      <c r="D8" s="27">
        <f>D4*0.4/100</f>
        <v>9.884360000000001</v>
      </c>
      <c r="E8" s="16">
        <f>E4*0.4/100</f>
        <v>9.884360000000001</v>
      </c>
      <c r="F8" s="24">
        <f t="shared" si="0"/>
        <v>29.653080000000003</v>
      </c>
      <c r="G8" s="18">
        <f>G4*0.4/100</f>
        <v>9.884360000000001</v>
      </c>
      <c r="H8" s="19">
        <f>H4*0.4/100</f>
        <v>12.388600000000002</v>
      </c>
      <c r="I8" s="20">
        <f>I4*0.4/100</f>
        <v>9.884360000000001</v>
      </c>
      <c r="J8" s="25">
        <f t="shared" si="1"/>
        <v>32.157320000000006</v>
      </c>
      <c r="K8" s="28">
        <f>K4*0.4/100</f>
        <v>9.884360000000001</v>
      </c>
      <c r="L8" s="27">
        <f>L4*0.4/100</f>
        <v>9.884360000000001</v>
      </c>
      <c r="M8" s="29">
        <f>M4*0.4/100</f>
        <v>9.884360000000001</v>
      </c>
      <c r="N8" s="26">
        <f t="shared" si="2"/>
        <v>29.653080000000003</v>
      </c>
      <c r="O8" s="28">
        <f>O4*0.4/100</f>
        <v>9.884360000000001</v>
      </c>
      <c r="P8" s="27">
        <f>P4*0.4/100</f>
        <v>9.884360000000001</v>
      </c>
      <c r="Q8" s="29">
        <f>Q4*0.4/100</f>
        <v>20.601480000000006</v>
      </c>
      <c r="R8" s="26">
        <f t="shared" si="3"/>
        <v>40.37020000000001</v>
      </c>
    </row>
    <row r="9" spans="2:18" ht="13.5" thickBot="1">
      <c r="B9" s="14" t="s">
        <v>24</v>
      </c>
      <c r="C9" s="15">
        <f>C4*8.5/100</f>
        <v>210.04264999999998</v>
      </c>
      <c r="D9" s="27">
        <f>D4*8.5/100</f>
        <v>210.04264999999998</v>
      </c>
      <c r="E9" s="16">
        <f>E4*8.5/100</f>
        <v>210.04264999999998</v>
      </c>
      <c r="F9" s="30">
        <f t="shared" si="0"/>
        <v>630.1279499999999</v>
      </c>
      <c r="G9" s="18">
        <f>G4*8.5/100</f>
        <v>210.04264999999998</v>
      </c>
      <c r="H9" s="19">
        <f>H4*8.5/100</f>
        <v>263.25775</v>
      </c>
      <c r="I9" s="20">
        <f>I4*8.5/100</f>
        <v>210.04264999999998</v>
      </c>
      <c r="J9" s="31">
        <f t="shared" si="1"/>
        <v>683.34305</v>
      </c>
      <c r="K9" s="28">
        <f>K4*8.5/100</f>
        <v>210.04264999999998</v>
      </c>
      <c r="L9" s="27">
        <f>L4*8.5/100</f>
        <v>210.04264999999998</v>
      </c>
      <c r="M9" s="29">
        <f>M4*8.5/100</f>
        <v>210.04264999999998</v>
      </c>
      <c r="N9" s="32">
        <f t="shared" si="2"/>
        <v>630.1279499999999</v>
      </c>
      <c r="O9" s="28">
        <f>O4*8.5/100</f>
        <v>210.04264999999998</v>
      </c>
      <c r="P9" s="27">
        <f>P4*8.5/100</f>
        <v>210.04264999999998</v>
      </c>
      <c r="Q9" s="29">
        <f>Q4*8.5/100</f>
        <v>437.78145000000006</v>
      </c>
      <c r="R9" s="32">
        <f t="shared" si="3"/>
        <v>857.86675</v>
      </c>
    </row>
    <row r="10" spans="2:18" s="2" customFormat="1" ht="23.25" thickBot="1">
      <c r="B10" s="76" t="s">
        <v>37</v>
      </c>
      <c r="C10" s="15">
        <f>SUM(C4:C9)</f>
        <v>3428.365471</v>
      </c>
      <c r="D10" s="27">
        <f>SUM(D4:D9)</f>
        <v>3428.365471</v>
      </c>
      <c r="E10" s="16">
        <f>SUM(E4:E9)</f>
        <v>3428.365471</v>
      </c>
      <c r="F10" s="33">
        <f t="shared" si="0"/>
        <v>10285.096413</v>
      </c>
      <c r="G10" s="18">
        <f aca="true" t="shared" si="4" ref="G10:M10">SUM(G4:G9)</f>
        <v>3428.365471</v>
      </c>
      <c r="H10" s="19">
        <f t="shared" si="4"/>
        <v>4269.226657</v>
      </c>
      <c r="I10" s="20">
        <f t="shared" si="4"/>
        <v>3428.365471</v>
      </c>
      <c r="J10" s="34">
        <f t="shared" si="4"/>
        <v>11125.957599</v>
      </c>
      <c r="K10" s="28">
        <f t="shared" si="4"/>
        <v>3428.365471</v>
      </c>
      <c r="L10" s="27">
        <f t="shared" si="4"/>
        <v>3428.365471</v>
      </c>
      <c r="M10" s="35">
        <f t="shared" si="4"/>
        <v>3428.365471</v>
      </c>
      <c r="N10" s="36">
        <f t="shared" si="2"/>
        <v>10285.096413</v>
      </c>
      <c r="O10" s="28">
        <f>SUM(O4:O9)</f>
        <v>3428.365471</v>
      </c>
      <c r="P10" s="27">
        <f>SUM(P4:P9)</f>
        <v>3428.365471</v>
      </c>
      <c r="Q10" s="35">
        <f>SUM(Q4:Q9)</f>
        <v>7136.350931000002</v>
      </c>
      <c r="R10" s="36">
        <f t="shared" si="3"/>
        <v>13993.081873000003</v>
      </c>
    </row>
    <row r="11" spans="2:18" s="2" customFormat="1" ht="12.75">
      <c r="B11" s="37"/>
      <c r="C11" s="38"/>
      <c r="D11" s="39"/>
      <c r="E11" s="38"/>
      <c r="F11" s="38"/>
      <c r="G11" s="40"/>
      <c r="H11" s="40"/>
      <c r="I11" s="40"/>
      <c r="J11" s="40"/>
      <c r="K11" s="39"/>
      <c r="L11" s="39"/>
      <c r="M11" s="39"/>
      <c r="N11" s="39"/>
      <c r="O11" s="41"/>
      <c r="P11" s="41"/>
      <c r="Q11" s="41"/>
      <c r="R11" s="41"/>
    </row>
    <row r="12" ht="13.5" thickBot="1"/>
    <row r="13" spans="3:18" ht="28.5" customHeight="1" thickBot="1">
      <c r="C13" s="4" t="s">
        <v>25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33.75">
      <c r="A14" t="s">
        <v>26</v>
      </c>
      <c r="B14" s="42"/>
      <c r="C14" s="7" t="s">
        <v>2</v>
      </c>
      <c r="D14" s="7" t="s">
        <v>3</v>
      </c>
      <c r="E14" s="43" t="s">
        <v>4</v>
      </c>
      <c r="F14" s="44" t="s">
        <v>5</v>
      </c>
      <c r="G14" s="45" t="s">
        <v>27</v>
      </c>
      <c r="H14" s="46" t="s">
        <v>7</v>
      </c>
      <c r="I14" s="47" t="s">
        <v>8</v>
      </c>
      <c r="J14" s="44" t="s">
        <v>28</v>
      </c>
      <c r="K14" s="45" t="s">
        <v>10</v>
      </c>
      <c r="L14" s="46" t="s">
        <v>11</v>
      </c>
      <c r="M14" s="47" t="s">
        <v>12</v>
      </c>
      <c r="N14" s="48" t="s">
        <v>29</v>
      </c>
      <c r="O14" s="49" t="s">
        <v>14</v>
      </c>
      <c r="P14" s="49" t="s">
        <v>15</v>
      </c>
      <c r="Q14" s="49" t="s">
        <v>16</v>
      </c>
      <c r="R14" s="50" t="s">
        <v>17</v>
      </c>
    </row>
    <row r="15" spans="1:18" ht="12.75">
      <c r="A15" t="s">
        <v>30</v>
      </c>
      <c r="B15" s="14" t="s">
        <v>19</v>
      </c>
      <c r="C15" s="19">
        <f>1763.89+51.9+13.23-35.54</f>
        <v>1793.4800000000002</v>
      </c>
      <c r="D15" s="19">
        <f>1763.89+51.9+13.23-35.54</f>
        <v>1793.4800000000002</v>
      </c>
      <c r="E15" s="20">
        <f>1763.89+51.9+13.23-35.54</f>
        <v>1793.4800000000002</v>
      </c>
      <c r="F15" s="26">
        <f>SUM(C15:E15)</f>
        <v>5380.4400000000005</v>
      </c>
      <c r="G15" s="18">
        <f>1763.89+51.9+13.23-35.54</f>
        <v>1793.4800000000002</v>
      </c>
      <c r="H15" s="19">
        <f>1763.89+51.9+13.23-35.54</f>
        <v>1793.4800000000002</v>
      </c>
      <c r="I15" s="20">
        <f>1763.89+51.9+13.23-35.54+2000</f>
        <v>3793.4800000000005</v>
      </c>
      <c r="J15" s="26">
        <f aca="true" t="shared" si="5" ref="J15:J22">SUM(G15:I15)</f>
        <v>7380.4400000000005</v>
      </c>
      <c r="K15" s="18">
        <f>1763.89+51.9+300+13.23+281.73+47.77-35.54</f>
        <v>2422.98</v>
      </c>
      <c r="L15" s="19">
        <f>1763.89+51.9+13.23-35.54</f>
        <v>1793.4800000000002</v>
      </c>
      <c r="M15" s="20">
        <f>1763.89+51.9+13.23-35.54</f>
        <v>1793.4800000000002</v>
      </c>
      <c r="N15" s="25">
        <f>SUM(K15:M15)</f>
        <v>6009.9400000000005</v>
      </c>
      <c r="O15" s="18">
        <f>1696.05+49.9+12.72+68.35+563.46-35.54</f>
        <v>2354.94</v>
      </c>
      <c r="P15" s="19">
        <f>1763.89+51.9+13.23-35.54</f>
        <v>1793.4800000000002</v>
      </c>
      <c r="Q15" s="20">
        <f>1763.89+51.9+13.23+1777.12+36.75+111.47-71.08</f>
        <v>3683.28</v>
      </c>
      <c r="R15" s="25">
        <f>SUM(O15:Q15)</f>
        <v>7831.700000000001</v>
      </c>
    </row>
    <row r="16" spans="2:18" ht="12.75">
      <c r="B16" s="14" t="s">
        <v>31</v>
      </c>
      <c r="C16" s="14">
        <v>153.25</v>
      </c>
      <c r="D16" s="14">
        <v>153.25</v>
      </c>
      <c r="E16" s="20">
        <v>153.25</v>
      </c>
      <c r="F16" s="26">
        <f aca="true" t="shared" si="6" ref="F16:F22">SUM(C16:E16)</f>
        <v>459.75</v>
      </c>
      <c r="G16" s="18">
        <v>153.25</v>
      </c>
      <c r="H16" s="19">
        <v>153.25</v>
      </c>
      <c r="I16" s="20">
        <v>153.25</v>
      </c>
      <c r="J16" s="26">
        <f t="shared" si="5"/>
        <v>459.75</v>
      </c>
      <c r="K16" s="18">
        <v>152.17</v>
      </c>
      <c r="L16" s="19">
        <v>152.17</v>
      </c>
      <c r="M16" s="20">
        <v>152.17</v>
      </c>
      <c r="N16" s="25">
        <f aca="true" t="shared" si="7" ref="N16:N22">SUM(K16:M16)</f>
        <v>456.51</v>
      </c>
      <c r="O16" s="18">
        <v>152.17</v>
      </c>
      <c r="P16" s="19">
        <v>152.17</v>
      </c>
      <c r="Q16" s="20">
        <v>152.17</v>
      </c>
      <c r="R16" s="25">
        <f aca="true" t="shared" si="8" ref="R16:R22">SUM(O16:Q16)</f>
        <v>456.51</v>
      </c>
    </row>
    <row r="17" spans="2:18" ht="12.75">
      <c r="B17" s="14" t="s">
        <v>20</v>
      </c>
      <c r="C17" s="27">
        <f>(C15+35.54)*23.8/100</f>
        <v>435.30676000000005</v>
      </c>
      <c r="D17" s="27">
        <f>(D15+35.54)*23.8/100</f>
        <v>435.30676000000005</v>
      </c>
      <c r="E17" s="20">
        <f>(E15+35.54)*23.8/100</f>
        <v>435.30676000000005</v>
      </c>
      <c r="F17" s="26">
        <f t="shared" si="6"/>
        <v>1305.9202800000003</v>
      </c>
      <c r="G17" s="18">
        <f>(G15+35.54)*23.8/100</f>
        <v>435.30676000000005</v>
      </c>
      <c r="H17" s="19">
        <f>(H15+35.54)*23.8/100</f>
        <v>435.30676000000005</v>
      </c>
      <c r="I17" s="20">
        <f>(I15+35.54)*23.8/100</f>
        <v>911.30676</v>
      </c>
      <c r="J17" s="26">
        <f t="shared" si="5"/>
        <v>1781.9202800000003</v>
      </c>
      <c r="K17" s="18">
        <f>(K15+35.54)*23.8/100</f>
        <v>585.12776</v>
      </c>
      <c r="L17" s="19">
        <f>(L15+35.54)*23.8/100</f>
        <v>435.30676000000005</v>
      </c>
      <c r="M17" s="20">
        <f>(M15+35.54)*23.8/100</f>
        <v>435.30676000000005</v>
      </c>
      <c r="N17" s="25">
        <f t="shared" si="7"/>
        <v>1455.7412800000002</v>
      </c>
      <c r="O17" s="18">
        <f>(1763.89+51.9+13.23+563.46)*23.8/100</f>
        <v>569.4102400000002</v>
      </c>
      <c r="P17" s="19">
        <f>(P15+35.54)*23.8/100</f>
        <v>435.30676000000005</v>
      </c>
      <c r="Q17" s="20">
        <f>(Q15+71.08)*23.8/100</f>
        <v>893.5376800000001</v>
      </c>
      <c r="R17" s="25">
        <f t="shared" si="8"/>
        <v>1898.2546800000005</v>
      </c>
    </row>
    <row r="18" spans="2:18" ht="12.75">
      <c r="B18" s="14" t="s">
        <v>21</v>
      </c>
      <c r="C18" s="51">
        <f>((1763.89+13.23)*80/100)*6.1/100</f>
        <v>86.723456</v>
      </c>
      <c r="D18" s="51">
        <f>((1763.89+13.23)*80/100)*6.1/100</f>
        <v>86.723456</v>
      </c>
      <c r="E18" s="52">
        <f>((1763.89+13.23)*80/100)*6.1/100</f>
        <v>86.723456</v>
      </c>
      <c r="F18" s="26">
        <f t="shared" si="6"/>
        <v>260.170368</v>
      </c>
      <c r="G18" s="18">
        <f>(1763.89+13.23)*80/100*6.1/100</f>
        <v>86.723456</v>
      </c>
      <c r="H18" s="19">
        <f>(1763.89+13.23)*80/100*6.1/100</f>
        <v>86.723456</v>
      </c>
      <c r="I18" s="20">
        <f>(1763.89+13.23)*80/100*6.1/100</f>
        <v>86.723456</v>
      </c>
      <c r="J18" s="26">
        <f t="shared" si="5"/>
        <v>260.170368</v>
      </c>
      <c r="K18" s="18">
        <f>(1763.89+13.23)*80/100*6.1/100</f>
        <v>86.723456</v>
      </c>
      <c r="L18" s="19">
        <f>(1763.89+13.23)*80/100*6.1/100</f>
        <v>86.723456</v>
      </c>
      <c r="M18" s="20">
        <f>(1763.89+13.23)*80/100*6.1/100</f>
        <v>86.723456</v>
      </c>
      <c r="N18" s="25">
        <f t="shared" si="7"/>
        <v>260.170368</v>
      </c>
      <c r="O18" s="18">
        <v>86.72</v>
      </c>
      <c r="P18" s="19">
        <f>(1763.89+13.23)*80/100*6.1/100</f>
        <v>86.723456</v>
      </c>
      <c r="Q18" s="20">
        <f>(1763.89+13.23+1777.12)*80/100*6.1/100</f>
        <v>173.44691199999994</v>
      </c>
      <c r="R18" s="25">
        <f t="shared" si="8"/>
        <v>346.89036799999997</v>
      </c>
    </row>
    <row r="19" spans="2:18" ht="12.75">
      <c r="B19" s="14" t="s">
        <v>22</v>
      </c>
      <c r="C19" s="51">
        <f>C15*1.61/100</f>
        <v>28.875028000000007</v>
      </c>
      <c r="D19" s="51">
        <f aca="true" t="shared" si="9" ref="D19:M19">D15*1.61/100</f>
        <v>28.875028000000007</v>
      </c>
      <c r="E19" s="51">
        <f t="shared" si="9"/>
        <v>28.875028000000007</v>
      </c>
      <c r="F19" s="53">
        <f>SUM(C19:E19)</f>
        <v>86.62508400000002</v>
      </c>
      <c r="G19" s="51">
        <f t="shared" si="9"/>
        <v>28.875028000000007</v>
      </c>
      <c r="H19" s="51">
        <f t="shared" si="9"/>
        <v>28.875028000000007</v>
      </c>
      <c r="I19" s="51">
        <f t="shared" si="9"/>
        <v>61.07502800000001</v>
      </c>
      <c r="J19" s="53">
        <f>SUM(G19:I19)</f>
        <v>118.82508400000003</v>
      </c>
      <c r="K19" s="51">
        <f t="shared" si="9"/>
        <v>39.009978000000004</v>
      </c>
      <c r="L19" s="51">
        <f t="shared" si="9"/>
        <v>28.875028000000007</v>
      </c>
      <c r="M19" s="51">
        <f t="shared" si="9"/>
        <v>28.875028000000007</v>
      </c>
      <c r="N19" s="25">
        <f>SUM(K19:M19)</f>
        <v>96.76003400000002</v>
      </c>
      <c r="O19" s="51">
        <f>O15*1.61/100</f>
        <v>37.914534</v>
      </c>
      <c r="P19" s="51">
        <f>P15*1.61/100</f>
        <v>28.875028000000007</v>
      </c>
      <c r="Q19" s="51">
        <f>Q15*1.61/100</f>
        <v>59.300808</v>
      </c>
      <c r="R19" s="25">
        <f>SUM(O19:Q19)</f>
        <v>126.09037000000002</v>
      </c>
    </row>
    <row r="20" spans="2:18" ht="12.75">
      <c r="B20" s="14" t="s">
        <v>23</v>
      </c>
      <c r="C20" s="27">
        <f>C15*0.8/100</f>
        <v>14.347840000000003</v>
      </c>
      <c r="D20" s="27">
        <f>D15*0.8/100</f>
        <v>14.347840000000003</v>
      </c>
      <c r="E20" s="29">
        <f>E15*0.8/100</f>
        <v>14.347840000000003</v>
      </c>
      <c r="F20" s="26">
        <f t="shared" si="6"/>
        <v>43.04352000000001</v>
      </c>
      <c r="G20" s="18">
        <f>G15*0.8/100</f>
        <v>14.347840000000003</v>
      </c>
      <c r="H20" s="19">
        <f>H15*0.8/100</f>
        <v>14.347840000000003</v>
      </c>
      <c r="I20" s="20">
        <f>I15*0.8/100</f>
        <v>30.347840000000005</v>
      </c>
      <c r="J20" s="26">
        <f t="shared" si="5"/>
        <v>59.043520000000015</v>
      </c>
      <c r="K20" s="18">
        <f>K15*0.8/100</f>
        <v>19.38384</v>
      </c>
      <c r="L20" s="19">
        <f>L15*0.8/100</f>
        <v>14.347840000000003</v>
      </c>
      <c r="M20" s="20">
        <f>M15*0.8/100</f>
        <v>14.347840000000003</v>
      </c>
      <c r="N20" s="25">
        <f t="shared" si="7"/>
        <v>48.07952000000001</v>
      </c>
      <c r="O20" s="18">
        <f>O15*0.8/100</f>
        <v>18.839520000000004</v>
      </c>
      <c r="P20" s="19">
        <f>P15*0.8/100</f>
        <v>14.347840000000003</v>
      </c>
      <c r="Q20" s="20">
        <f>Q15*0.8/100</f>
        <v>29.466240000000003</v>
      </c>
      <c r="R20" s="25">
        <f t="shared" si="8"/>
        <v>62.65360000000001</v>
      </c>
    </row>
    <row r="21" spans="2:18" ht="13.5" thickBot="1">
      <c r="B21" s="54" t="s">
        <v>24</v>
      </c>
      <c r="C21" s="55">
        <f>C15*8.5/100</f>
        <v>152.44580000000002</v>
      </c>
      <c r="D21" s="55">
        <f>D15*8.5/100</f>
        <v>152.44580000000002</v>
      </c>
      <c r="E21" s="56">
        <f>E15*8.5/100</f>
        <v>152.44580000000002</v>
      </c>
      <c r="F21" s="32">
        <f t="shared" si="6"/>
        <v>457.33740000000006</v>
      </c>
      <c r="G21" s="57">
        <f>G15*8.5/100</f>
        <v>152.44580000000002</v>
      </c>
      <c r="H21" s="58">
        <f>H15*8.5/100</f>
        <v>152.44580000000002</v>
      </c>
      <c r="I21" s="59">
        <f>I15*8.5/100</f>
        <v>322.4458000000001</v>
      </c>
      <c r="J21" s="32">
        <f t="shared" si="5"/>
        <v>627.3374000000001</v>
      </c>
      <c r="K21" s="18">
        <f>K15*8.5/100</f>
        <v>205.9533</v>
      </c>
      <c r="L21" s="19">
        <f>L15*8.5/100</f>
        <v>152.44580000000002</v>
      </c>
      <c r="M21" s="20">
        <f>M15*8.5/100</f>
        <v>152.44580000000002</v>
      </c>
      <c r="N21" s="31">
        <f t="shared" si="7"/>
        <v>510.84490000000005</v>
      </c>
      <c r="O21" s="18">
        <f>O15*8.5/100</f>
        <v>200.1699</v>
      </c>
      <c r="P21" s="19">
        <f>P15*8.5/100</f>
        <v>152.44580000000002</v>
      </c>
      <c r="Q21" s="20">
        <f>Q15*8.5/100</f>
        <v>313.0788</v>
      </c>
      <c r="R21" s="31">
        <f t="shared" si="8"/>
        <v>665.6945000000001</v>
      </c>
    </row>
    <row r="22" spans="2:18" s="2" customFormat="1" ht="23.25" thickBot="1">
      <c r="B22" s="77" t="s">
        <v>32</v>
      </c>
      <c r="C22" s="60">
        <f>SUM(C15:C21)</f>
        <v>2664.4288840000004</v>
      </c>
      <c r="D22" s="60">
        <f>SUM(D15:D21)</f>
        <v>2664.4288840000004</v>
      </c>
      <c r="E22" s="61">
        <f>SUM(E15:E21)</f>
        <v>2664.4288840000004</v>
      </c>
      <c r="F22" s="36">
        <f t="shared" si="6"/>
        <v>7993.286652000001</v>
      </c>
      <c r="G22" s="62">
        <f>SUM(G15:G21)</f>
        <v>2664.4288840000004</v>
      </c>
      <c r="H22" s="63">
        <f>SUM(H15:H21)</f>
        <v>2664.4288840000004</v>
      </c>
      <c r="I22" s="61">
        <f>SUM(I15:I21)</f>
        <v>5358.628884000002</v>
      </c>
      <c r="J22" s="36">
        <f t="shared" si="5"/>
        <v>10687.486652000003</v>
      </c>
      <c r="K22" s="18">
        <f>SUM(K15:K21)</f>
        <v>3511.3483340000002</v>
      </c>
      <c r="L22" s="19">
        <f>SUM(L15:L21)</f>
        <v>2663.3488840000005</v>
      </c>
      <c r="M22" s="64">
        <f>SUM(M15:M21)</f>
        <v>2663.3488840000005</v>
      </c>
      <c r="N22" s="34">
        <f t="shared" si="7"/>
        <v>8838.046102000002</v>
      </c>
      <c r="O22" s="18">
        <f>SUM(O15:O21)</f>
        <v>3420.164194</v>
      </c>
      <c r="P22" s="19">
        <f>SUM(P15:P21)</f>
        <v>2663.3488840000005</v>
      </c>
      <c r="Q22" s="64">
        <f>SUM(Q15:Q21)</f>
        <v>5304.28044</v>
      </c>
      <c r="R22" s="34">
        <f t="shared" si="8"/>
        <v>11387.793518</v>
      </c>
    </row>
    <row r="25" ht="13.5" thickBot="1"/>
    <row r="26" spans="3:18" ht="27" customHeight="1" thickBot="1">
      <c r="C26" s="4" t="s">
        <v>33</v>
      </c>
      <c r="D26" s="5"/>
      <c r="E26" s="5"/>
      <c r="F26" s="5"/>
      <c r="G26" s="5"/>
      <c r="H26" s="5"/>
      <c r="I26" s="5"/>
      <c r="J26" s="5"/>
      <c r="K26" s="78"/>
      <c r="L26" s="78"/>
      <c r="M26" s="5"/>
      <c r="N26" s="5"/>
      <c r="O26" s="5"/>
      <c r="P26" s="5"/>
      <c r="Q26" s="5"/>
      <c r="R26" s="6"/>
    </row>
    <row r="27" spans="1:18" ht="33.75">
      <c r="A27" t="s">
        <v>34</v>
      </c>
      <c r="B27" s="42"/>
      <c r="C27" s="43" t="s">
        <v>2</v>
      </c>
      <c r="D27" s="7" t="s">
        <v>3</v>
      </c>
      <c r="E27" s="3" t="s">
        <v>4</v>
      </c>
      <c r="F27" s="44" t="s">
        <v>5</v>
      </c>
      <c r="G27" s="45" t="s">
        <v>27</v>
      </c>
      <c r="H27" s="46" t="s">
        <v>7</v>
      </c>
      <c r="I27" s="47" t="s">
        <v>8</v>
      </c>
      <c r="J27" s="81" t="s">
        <v>28</v>
      </c>
      <c r="K27" s="80" t="s">
        <v>10</v>
      </c>
      <c r="L27" s="79" t="s">
        <v>11</v>
      </c>
      <c r="M27" s="47" t="s">
        <v>12</v>
      </c>
      <c r="N27" s="48" t="s">
        <v>29</v>
      </c>
      <c r="O27" s="65" t="s">
        <v>14</v>
      </c>
      <c r="P27" s="49" t="s">
        <v>15</v>
      </c>
      <c r="Q27" s="66" t="s">
        <v>16</v>
      </c>
      <c r="R27" s="67" t="s">
        <v>17</v>
      </c>
    </row>
    <row r="28" spans="1:18" ht="12.75">
      <c r="A28" t="s">
        <v>35</v>
      </c>
      <c r="B28" s="14" t="s">
        <v>19</v>
      </c>
      <c r="C28" s="68"/>
      <c r="D28" s="19"/>
      <c r="E28" s="20"/>
      <c r="F28" s="26">
        <f>SUM(C28:E28)</f>
        <v>0</v>
      </c>
      <c r="G28" s="18"/>
      <c r="H28" s="19"/>
      <c r="I28" s="20"/>
      <c r="J28" s="26">
        <f aca="true" t="shared" si="10" ref="J28:J35">SUM(G28:I28)</f>
        <v>0</v>
      </c>
      <c r="K28" s="18"/>
      <c r="L28" s="19"/>
      <c r="M28" s="20">
        <v>2894.18</v>
      </c>
      <c r="N28" s="25">
        <f>SUM(K28:M28)</f>
        <v>2894.18</v>
      </c>
      <c r="O28" s="18">
        <f>(1621.18+45.8+12.16+65.02+81.06+37.41-33.52)+(1621.18+45.8+12.16+65.02+118.47+56.12-33.97)</f>
        <v>3713.8900000000003</v>
      </c>
      <c r="P28" s="19">
        <f>(1408.74+314.1+21.31-6.28)+311.77+8.81+2.34+12.5+272.97-11.99</f>
        <v>2334.2700000000004</v>
      </c>
      <c r="Q28" s="20">
        <f>(272.97+1744.16-5.46)+(1621.18+41.46+4.34+12.16+65.02+138.72-36.74)</f>
        <v>3857.8100000000004</v>
      </c>
      <c r="R28" s="25">
        <f>SUM(O28:Q28)</f>
        <v>9905.970000000001</v>
      </c>
    </row>
    <row r="29" spans="2:18" ht="12.75">
      <c r="B29" s="14" t="s">
        <v>31</v>
      </c>
      <c r="C29" s="68"/>
      <c r="D29" s="14"/>
      <c r="E29" s="20"/>
      <c r="F29" s="26">
        <f aca="true" t="shared" si="11" ref="F29:F35">SUM(C29:E29)</f>
        <v>0</v>
      </c>
      <c r="G29" s="18"/>
      <c r="H29" s="19"/>
      <c r="I29" s="20"/>
      <c r="J29" s="26">
        <f t="shared" si="10"/>
        <v>0</v>
      </c>
      <c r="K29" s="18"/>
      <c r="L29" s="19"/>
      <c r="M29" s="20"/>
      <c r="N29" s="25">
        <f aca="true" t="shared" si="12" ref="N29:N35">SUM(K29:M29)</f>
        <v>0</v>
      </c>
      <c r="O29" s="18">
        <v>0</v>
      </c>
      <c r="P29" s="19"/>
      <c r="Q29" s="20"/>
      <c r="R29" s="25">
        <f aca="true" t="shared" si="13" ref="R29:R35">SUM(O29:Q29)</f>
        <v>0</v>
      </c>
    </row>
    <row r="30" spans="2:18" ht="12.75">
      <c r="B30" s="14" t="s">
        <v>20</v>
      </c>
      <c r="C30" s="27"/>
      <c r="D30" s="27"/>
      <c r="E30" s="20"/>
      <c r="F30" s="26">
        <f t="shared" si="11"/>
        <v>0</v>
      </c>
      <c r="G30" s="18"/>
      <c r="H30" s="19"/>
      <c r="I30" s="20"/>
      <c r="J30" s="26">
        <f t="shared" si="10"/>
        <v>0</v>
      </c>
      <c r="K30" s="18"/>
      <c r="L30" s="19"/>
      <c r="M30" s="20">
        <f>(1447.09+28.74)*2*23.8/100</f>
        <v>702.49508</v>
      </c>
      <c r="N30" s="25">
        <f t="shared" si="12"/>
        <v>702.49508</v>
      </c>
      <c r="O30" s="18">
        <f>((O28+33.52+33.97)*23.8/100)</f>
        <v>899.9684400000001</v>
      </c>
      <c r="P30" s="19">
        <f>(P28+11.99+6.28)*23.8/100</f>
        <v>559.9045200000002</v>
      </c>
      <c r="Q30" s="20">
        <f>(((272.97+1744.16)+(1621.18+41.46+4.34+12.16+65.02+138.72))*23.8/100)</f>
        <v>928.2023800000002</v>
      </c>
      <c r="R30" s="25">
        <f t="shared" si="13"/>
        <v>2388.0753400000003</v>
      </c>
    </row>
    <row r="31" spans="2:18" ht="12.75">
      <c r="B31" s="14" t="s">
        <v>21</v>
      </c>
      <c r="C31" s="51"/>
      <c r="D31" s="51"/>
      <c r="E31" s="52"/>
      <c r="F31" s="26">
        <f t="shared" si="11"/>
        <v>0</v>
      </c>
      <c r="G31" s="18"/>
      <c r="H31" s="19"/>
      <c r="I31" s="20"/>
      <c r="J31" s="26">
        <f t="shared" si="10"/>
        <v>0</v>
      </c>
      <c r="K31" s="18"/>
      <c r="L31" s="19"/>
      <c r="M31" s="20">
        <f>(1371.77+10.29+55.02)*2*80/100*6.1/100</f>
        <v>140.259008</v>
      </c>
      <c r="N31" s="25">
        <f t="shared" si="12"/>
        <v>140.259008</v>
      </c>
      <c r="O31" s="18">
        <f>((1621.18+12.16+65.02)*2)*80/100*6.1/100</f>
        <v>165.759936</v>
      </c>
      <c r="P31" s="19">
        <f>(((314.1+21.31)+(311.77+2.34+12.5+272.97))*80/100*6.1/100)</f>
        <v>45.627511999999996</v>
      </c>
      <c r="Q31" s="20">
        <f>(272.97+1621.18+12.16+138.72)*80/100*6.1/100</f>
        <v>99.79746400000002</v>
      </c>
      <c r="R31" s="25">
        <f t="shared" si="13"/>
        <v>311.18491200000005</v>
      </c>
    </row>
    <row r="32" spans="2:18" ht="12.75">
      <c r="B32" s="14" t="s">
        <v>36</v>
      </c>
      <c r="C32" s="51"/>
      <c r="D32" s="51"/>
      <c r="E32" s="52"/>
      <c r="F32" s="26"/>
      <c r="G32" s="18"/>
      <c r="H32" s="19"/>
      <c r="I32" s="20"/>
      <c r="J32" s="26"/>
      <c r="K32" s="18"/>
      <c r="L32" s="19"/>
      <c r="M32" s="20">
        <f>M28*1.61/100</f>
        <v>46.596298</v>
      </c>
      <c r="N32" s="25">
        <f>SUM(K32:M32)</f>
        <v>46.596298</v>
      </c>
      <c r="O32" s="18">
        <f>((1060+29.95+7.95+42.51+81.06+565.39-33.52)*2)*1.61/100</f>
        <v>56.457548</v>
      </c>
      <c r="P32" s="19">
        <f>P28*1.61/100</f>
        <v>37.58174700000001</v>
      </c>
      <c r="Q32" s="20">
        <f>Q28*1.61/100</f>
        <v>62.110741000000004</v>
      </c>
      <c r="R32" s="25">
        <f>SUM(O32:Q32)</f>
        <v>156.150036</v>
      </c>
    </row>
    <row r="33" spans="2:18" ht="12.75">
      <c r="B33" s="14" t="s">
        <v>23</v>
      </c>
      <c r="C33" s="27"/>
      <c r="D33" s="27"/>
      <c r="E33" s="29"/>
      <c r="F33" s="26">
        <f t="shared" si="11"/>
        <v>0</v>
      </c>
      <c r="G33" s="18"/>
      <c r="H33" s="19"/>
      <c r="I33" s="20"/>
      <c r="J33" s="26">
        <f t="shared" si="10"/>
        <v>0</v>
      </c>
      <c r="K33" s="18"/>
      <c r="L33" s="19"/>
      <c r="M33" s="20">
        <f>M28*0.9/100</f>
        <v>26.04762</v>
      </c>
      <c r="N33" s="25">
        <f t="shared" si="12"/>
        <v>26.04762</v>
      </c>
      <c r="O33" s="18">
        <f>((1060+29.95+7.95+42.51+81.06+37.41+565.39-33.52)*2)*0.9/100</f>
        <v>32.2335</v>
      </c>
      <c r="P33" s="19">
        <f>(314.1+311.77+8.81+2.34+12.5+272.97)*0.9/100</f>
        <v>8.30241</v>
      </c>
      <c r="Q33" s="20">
        <f>(272.97+1621.18+41.46+4.34+12.16+65.02+138.72)*0.9/100</f>
        <v>19.402649999999998</v>
      </c>
      <c r="R33" s="25">
        <f t="shared" si="13"/>
        <v>59.938559999999995</v>
      </c>
    </row>
    <row r="34" spans="2:18" ht="13.5" thickBot="1">
      <c r="B34" s="54" t="s">
        <v>24</v>
      </c>
      <c r="C34" s="55"/>
      <c r="D34" s="55"/>
      <c r="E34" s="56"/>
      <c r="F34" s="32">
        <f t="shared" si="11"/>
        <v>0</v>
      </c>
      <c r="G34" s="57"/>
      <c r="H34" s="58"/>
      <c r="I34" s="59"/>
      <c r="J34" s="32">
        <f t="shared" si="10"/>
        <v>0</v>
      </c>
      <c r="K34" s="18"/>
      <c r="L34" s="19"/>
      <c r="M34" s="20">
        <f>M28*8.5/100</f>
        <v>246.00529999999998</v>
      </c>
      <c r="N34" s="31">
        <f t="shared" si="12"/>
        <v>246.00529999999998</v>
      </c>
      <c r="O34" s="18">
        <f>((1060+29.95+7.95+42.51+81.06+37.41+565.39)*2)*8.5/100</f>
        <v>310.1259</v>
      </c>
      <c r="P34" s="19">
        <f>P28*8.5/100</f>
        <v>198.41295000000005</v>
      </c>
      <c r="Q34" s="20">
        <f>Q28*8.5/100</f>
        <v>327.91385</v>
      </c>
      <c r="R34" s="25">
        <f t="shared" si="13"/>
        <v>836.4527</v>
      </c>
    </row>
    <row r="35" spans="2:18" ht="23.25" thickBot="1">
      <c r="B35" s="77" t="s">
        <v>32</v>
      </c>
      <c r="C35" s="69">
        <f>SUM(C28:C34)</f>
        <v>0</v>
      </c>
      <c r="D35" s="69">
        <f>SUM(D28:D34)</f>
        <v>0</v>
      </c>
      <c r="E35" s="70">
        <f>SUM(E28:E34)</f>
        <v>0</v>
      </c>
      <c r="F35" s="36">
        <f t="shared" si="11"/>
        <v>0</v>
      </c>
      <c r="G35" s="71">
        <f>SUM(G28:G34)</f>
        <v>0</v>
      </c>
      <c r="H35" s="72">
        <f>SUM(H28:H34)</f>
        <v>0</v>
      </c>
      <c r="I35" s="70">
        <f>SUM(I28:I34)</f>
        <v>0</v>
      </c>
      <c r="J35" s="36">
        <f t="shared" si="10"/>
        <v>0</v>
      </c>
      <c r="K35" s="73">
        <f>SUM(K28:K34)</f>
        <v>0</v>
      </c>
      <c r="L35" s="74">
        <f>SUM(L28:L34)</f>
        <v>0</v>
      </c>
      <c r="M35" s="64">
        <f>SUM(M28:M34)</f>
        <v>4055.5833059999995</v>
      </c>
      <c r="N35" s="34">
        <f t="shared" si="12"/>
        <v>4055.5833059999995</v>
      </c>
      <c r="O35" s="73">
        <f>SUM(O28:O34)</f>
        <v>5178.435324000001</v>
      </c>
      <c r="P35" s="74">
        <f>SUM(P28:P34)</f>
        <v>3184.0991390000004</v>
      </c>
      <c r="Q35" s="64">
        <f>SUM(Q28:Q34)</f>
        <v>5295.237085000001</v>
      </c>
      <c r="R35" s="75">
        <f t="shared" si="13"/>
        <v>13657.771548000002</v>
      </c>
    </row>
  </sheetData>
  <mergeCells count="4">
    <mergeCell ref="E1:N1"/>
    <mergeCell ref="C2:R2"/>
    <mergeCell ref="C13:R13"/>
    <mergeCell ref="C26:R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Corato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personale02</dc:creator>
  <cp:keywords/>
  <dc:description/>
  <cp:lastModifiedBy>personale02</cp:lastModifiedBy>
  <dcterms:created xsi:type="dcterms:W3CDTF">2017-01-13T10:14:02Z</dcterms:created>
  <dcterms:modified xsi:type="dcterms:W3CDTF">2017-01-13T10:28:09Z</dcterms:modified>
  <cp:category/>
  <cp:version/>
  <cp:contentType/>
  <cp:contentStatus/>
</cp:coreProperties>
</file>